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User\stats\Broadcast Year 2016\Other required reports\Tangible benefits reports\"/>
    </mc:Choice>
  </mc:AlternateContent>
  <bookViews>
    <workbookView xWindow="0" yWindow="0" windowWidth="23040" windowHeight="9612"/>
  </bookViews>
  <sheets>
    <sheet name="BAM Consolidated Group" sheetId="5" r:id="rId1"/>
    <sheet name="2010-792" sheetId="4" r:id="rId2"/>
    <sheet name="2011-585" sheetId="6" r:id="rId3"/>
    <sheet name="2012-381" sheetId="7" r:id="rId4"/>
    <sheet name="2012-630" sheetId="1" r:id="rId5"/>
  </sheets>
  <calcPr calcId="152511"/>
</workbook>
</file>

<file path=xl/calcChain.xml><?xml version="1.0" encoding="utf-8"?>
<calcChain xmlns="http://schemas.openxmlformats.org/spreadsheetml/2006/main">
  <c r="H11" i="7" l="1"/>
  <c r="H12" i="7"/>
  <c r="J11" i="7"/>
  <c r="F10" i="7"/>
  <c r="F10" i="5" s="1"/>
  <c r="F14" i="5" s="1"/>
  <c r="F23" i="5" s="1"/>
  <c r="H19" i="4"/>
  <c r="J19" i="4" s="1"/>
  <c r="J19" i="5" s="1"/>
  <c r="H18" i="4"/>
  <c r="J18" i="4" s="1"/>
  <c r="H17" i="4"/>
  <c r="J17" i="4" s="1"/>
  <c r="H10" i="4"/>
  <c r="J10" i="4" s="1"/>
  <c r="H10" i="6"/>
  <c r="L10" i="6" s="1"/>
  <c r="J12" i="7"/>
  <c r="H17" i="1"/>
  <c r="H17" i="5" s="1"/>
  <c r="H12" i="1"/>
  <c r="L12" i="1"/>
  <c r="H11" i="1"/>
  <c r="J11" i="1"/>
  <c r="H10" i="1"/>
  <c r="J10" i="1"/>
  <c r="J12" i="1"/>
  <c r="L11" i="1"/>
  <c r="J19" i="1"/>
  <c r="J18" i="1"/>
  <c r="D14" i="7"/>
  <c r="J19" i="7"/>
  <c r="J18" i="7"/>
  <c r="J12" i="4"/>
  <c r="J11" i="4"/>
  <c r="H12" i="6"/>
  <c r="J12" i="6" s="1"/>
  <c r="J12" i="5" s="1"/>
  <c r="F12" i="5"/>
  <c r="E17" i="5"/>
  <c r="F17" i="5"/>
  <c r="G17" i="5"/>
  <c r="I17" i="5"/>
  <c r="K17" i="5"/>
  <c r="E18" i="5"/>
  <c r="F18" i="5"/>
  <c r="F21" i="5" s="1"/>
  <c r="G18" i="5"/>
  <c r="I18" i="5"/>
  <c r="K18" i="5"/>
  <c r="E19" i="5"/>
  <c r="F19" i="5"/>
  <c r="G19" i="5"/>
  <c r="I19" i="5"/>
  <c r="K19" i="5"/>
  <c r="D18" i="5"/>
  <c r="D19" i="5"/>
  <c r="D17" i="5"/>
  <c r="L17" i="5" s="1"/>
  <c r="E10" i="5"/>
  <c r="G10" i="5"/>
  <c r="I10" i="5"/>
  <c r="K10" i="5"/>
  <c r="E11" i="5"/>
  <c r="G11" i="5"/>
  <c r="I11" i="5"/>
  <c r="K11" i="5"/>
  <c r="E12" i="5"/>
  <c r="G12" i="5"/>
  <c r="I12" i="5"/>
  <c r="K12" i="5"/>
  <c r="D11" i="5"/>
  <c r="D12" i="5"/>
  <c r="L12" i="5" s="1"/>
  <c r="D10" i="5"/>
  <c r="D14" i="5"/>
  <c r="F21" i="7"/>
  <c r="D21" i="7"/>
  <c r="D23" i="7" s="1"/>
  <c r="L19" i="7"/>
  <c r="L18" i="7"/>
  <c r="H17" i="7"/>
  <c r="H21" i="7" s="1"/>
  <c r="J17" i="7"/>
  <c r="J21" i="7" s="1"/>
  <c r="L9" i="7"/>
  <c r="L12" i="6"/>
  <c r="H11" i="6"/>
  <c r="H11" i="5" s="1"/>
  <c r="L11" i="5" s="1"/>
  <c r="H19" i="6"/>
  <c r="L19" i="6"/>
  <c r="H18" i="6"/>
  <c r="L18" i="6" s="1"/>
  <c r="L21" i="6" s="1"/>
  <c r="H17" i="6"/>
  <c r="J17" i="6" s="1"/>
  <c r="F21" i="6"/>
  <c r="D21" i="6"/>
  <c r="F14" i="6"/>
  <c r="F23" i="6" s="1"/>
  <c r="D14" i="6"/>
  <c r="D23" i="6" s="1"/>
  <c r="L19" i="1"/>
  <c r="L18" i="1"/>
  <c r="L9" i="4"/>
  <c r="F21" i="4"/>
  <c r="F23" i="4" s="1"/>
  <c r="D21" i="4"/>
  <c r="F14" i="4"/>
  <c r="D14" i="4"/>
  <c r="D23" i="4" s="1"/>
  <c r="L12" i="4"/>
  <c r="L9" i="1"/>
  <c r="F14" i="1"/>
  <c r="D14" i="1"/>
  <c r="D23" i="1"/>
  <c r="F21" i="1"/>
  <c r="F23" i="1"/>
  <c r="D21" i="1"/>
  <c r="L17" i="6"/>
  <c r="L11" i="4"/>
  <c r="H19" i="5"/>
  <c r="L19" i="5" s="1"/>
  <c r="J19" i="6"/>
  <c r="L17" i="1"/>
  <c r="L21" i="1" s="1"/>
  <c r="L17" i="7"/>
  <c r="L21" i="7" s="1"/>
  <c r="L19" i="4"/>
  <c r="L17" i="4"/>
  <c r="H14" i="4"/>
  <c r="L10" i="4"/>
  <c r="L14" i="4" s="1"/>
  <c r="L11" i="7"/>
  <c r="L10" i="1"/>
  <c r="F11" i="5"/>
  <c r="L14" i="1"/>
  <c r="L23" i="1" s="1"/>
  <c r="J14" i="1"/>
  <c r="H14" i="1"/>
  <c r="J10" i="6"/>
  <c r="H12" i="5"/>
  <c r="L12" i="7"/>
  <c r="L18" i="5" l="1"/>
  <c r="J21" i="6"/>
  <c r="J21" i="4"/>
  <c r="J14" i="4"/>
  <c r="L21" i="5"/>
  <c r="L14" i="6"/>
  <c r="L23" i="6" s="1"/>
  <c r="J18" i="6"/>
  <c r="J18" i="5" s="1"/>
  <c r="J17" i="1"/>
  <c r="J21" i="1" s="1"/>
  <c r="J23" i="1" s="1"/>
  <c r="H14" i="6"/>
  <c r="F14" i="7"/>
  <c r="F23" i="7" s="1"/>
  <c r="H18" i="5"/>
  <c r="H21" i="5" s="1"/>
  <c r="H21" i="1"/>
  <c r="H23" i="1" s="1"/>
  <c r="L18" i="4"/>
  <c r="L21" i="4" s="1"/>
  <c r="L23" i="4" s="1"/>
  <c r="H21" i="6"/>
  <c r="L11" i="6"/>
  <c r="D21" i="5"/>
  <c r="D23" i="5" s="1"/>
  <c r="H10" i="7"/>
  <c r="J11" i="6"/>
  <c r="J11" i="5" s="1"/>
  <c r="H21" i="4"/>
  <c r="H23" i="4" s="1"/>
  <c r="J14" i="6" l="1"/>
  <c r="J23" i="6" s="1"/>
  <c r="J17" i="5"/>
  <c r="J21" i="5" s="1"/>
  <c r="L10" i="7"/>
  <c r="L14" i="7" s="1"/>
  <c r="L23" i="7" s="1"/>
  <c r="H10" i="5"/>
  <c r="H14" i="7"/>
  <c r="H23" i="7" s="1"/>
  <c r="J10" i="7"/>
  <c r="H23" i="6"/>
  <c r="J23" i="4"/>
  <c r="H14" i="5" l="1"/>
  <c r="H23" i="5" s="1"/>
  <c r="L10" i="5"/>
  <c r="L14" i="5" s="1"/>
  <c r="L23" i="5" s="1"/>
  <c r="J14" i="7"/>
  <c r="J23" i="7" s="1"/>
  <c r="J10" i="5"/>
  <c r="J14" i="5" s="1"/>
  <c r="J23" i="5" s="1"/>
</calcChain>
</file>

<file path=xl/sharedStrings.xml><?xml version="1.0" encoding="utf-8"?>
<sst xmlns="http://schemas.openxmlformats.org/spreadsheetml/2006/main" count="114" uniqueCount="32">
  <si>
    <t>on-screen programming</t>
  </si>
  <si>
    <t>Multiscreen Fund initiative</t>
  </si>
  <si>
    <t>Social Benefits</t>
  </si>
  <si>
    <t>National Screen Institute</t>
  </si>
  <si>
    <t>nextMEDIA Banff</t>
  </si>
  <si>
    <t>Media scholarships</t>
  </si>
  <si>
    <t>Subtotal Social Benefits</t>
  </si>
  <si>
    <t>Total Tangible Benefits</t>
  </si>
  <si>
    <t>Summary of Benefit Payments</t>
  </si>
  <si>
    <t>Bold – Acquisition of assets - 2012-630</t>
  </si>
  <si>
    <t>Total Benefit Amount</t>
  </si>
  <si>
    <t>Total Spent to date</t>
  </si>
  <si>
    <t>Total Benefit Amount Remaining</t>
  </si>
  <si>
    <t xml:space="preserve">Produced by 
Third-Party Canadians
</t>
  </si>
  <si>
    <t>New media</t>
  </si>
  <si>
    <t>Subtotal Multiscreen Fund initiative</t>
  </si>
  <si>
    <t>Over/(Under) Spend to date compared to equitable distribution</t>
  </si>
  <si>
    <t>Produced by any Canadian</t>
  </si>
  <si>
    <t>Blue Ant Media Inc.</t>
  </si>
  <si>
    <t>Acquisition of T+E - 2010-792</t>
  </si>
  <si>
    <t>New media content</t>
  </si>
  <si>
    <t>2011-2018</t>
  </si>
  <si>
    <t>2013-2020</t>
  </si>
  <si>
    <t>Change in ownership of GlassBOX Television - 2011-585</t>
  </si>
  <si>
    <t>Change in ownership of HiFi HDTV Inc. - 2012-381</t>
  </si>
  <si>
    <t>2012-2019</t>
  </si>
  <si>
    <t>Consolidated summary of benefit obligations</t>
  </si>
  <si>
    <t>2011-2020</t>
  </si>
  <si>
    <t xml:space="preserve">Yrs </t>
  </si>
  <si>
    <t>yrs</t>
  </si>
  <si>
    <t>For the year ended August 31, 2016</t>
  </si>
  <si>
    <t>Amount Spent in F2016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</si>
</sst>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-* #,##0_-;\-* #,##0_-;_-* &quot;-&quot;??_-;_-@_-"/>
    <numFmt numFmtId="165" formatCode="[$-2]\ #,##0_);\([$-2]\ #,##0\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0" applyFont="1"/>
    <xf numFmtId="0" fontId="0" fillId="0" borderId="1" xfId="0" applyBorder="1"/>
    <xf numFmtId="0" fontId="4" fillId="0" borderId="0" xfId="0" applyFont="1"/>
    <xf numFmtId="0" fontId="5" fillId="0" borderId="0" xfId="0" applyFont="1"/>
    <xf numFmtId="0" fontId="0" fillId="0" borderId="0" xfId="0" applyBorder="1" applyAlignment="1">
      <alignment wrapText="1"/>
    </xf>
    <xf numFmtId="0" fontId="0" fillId="0" borderId="0" xfId="0" applyBorder="1"/>
    <xf numFmtId="43" fontId="1" fillId="0" borderId="0" xfId="1" applyFont="1"/>
    <xf numFmtId="164" fontId="1" fillId="0" borderId="0" xfId="1" applyNumberFormat="1" applyFont="1"/>
    <xf numFmtId="0" fontId="2" fillId="0" borderId="2" xfId="0" applyFont="1" applyBorder="1"/>
    <xf numFmtId="43" fontId="1" fillId="0" borderId="1" xfId="1" applyFont="1" applyBorder="1"/>
    <xf numFmtId="164" fontId="1" fillId="0" borderId="1" xfId="1" applyNumberFormat="1" applyFont="1" applyBorder="1"/>
    <xf numFmtId="164" fontId="2" fillId="0" borderId="2" xfId="0" applyNumberFormat="1" applyFont="1" applyBorder="1"/>
    <xf numFmtId="0" fontId="0" fillId="0" borderId="0" xfId="0" applyAlignment="1">
      <alignment horizontal="left" indent="2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165" fontId="1" fillId="0" borderId="0" xfId="1" applyNumberFormat="1" applyFont="1"/>
    <xf numFmtId="165" fontId="1" fillId="0" borderId="1" xfId="1" applyNumberFormat="1" applyFont="1" applyBorder="1"/>
    <xf numFmtId="165" fontId="2" fillId="0" borderId="2" xfId="1" applyNumberFormat="1" applyFont="1" applyBorder="1"/>
    <xf numFmtId="43" fontId="0" fillId="0" borderId="0" xfId="0" applyNumberFormat="1"/>
    <xf numFmtId="164" fontId="0" fillId="0" borderId="0" xfId="0" applyNumberFormat="1"/>
    <xf numFmtId="0" fontId="0" fillId="2" borderId="0" xfId="0" applyFill="1"/>
    <xf numFmtId="0" fontId="2" fillId="3" borderId="1" xfId="0" applyFont="1" applyFill="1" applyBorder="1" applyAlignment="1">
      <alignment horizontal="center" wrapText="1"/>
    </xf>
    <xf numFmtId="164" fontId="3" fillId="0" borderId="0" xfId="1" applyNumberFormat="1" applyFont="1"/>
    <xf numFmtId="0" fontId="3" fillId="0" borderId="0" xfId="0" applyFont="1"/>
    <xf numFmtId="164" fontId="3" fillId="0" borderId="1" xfId="1" applyNumberFormat="1" applyFont="1" applyFill="1" applyBorder="1"/>
    <xf numFmtId="164" fontId="3" fillId="0" borderId="1" xfId="1" applyNumberFormat="1" applyFont="1" applyBorder="1"/>
    <xf numFmtId="164" fontId="6" fillId="0" borderId="2" xfId="0" applyNumberFormat="1" applyFont="1" applyBorder="1"/>
    <xf numFmtId="164" fontId="6" fillId="4" borderId="0" xfId="1" applyNumberFormat="1" applyFont="1" applyFill="1"/>
    <xf numFmtId="0" fontId="6" fillId="4" borderId="0" xfId="0" applyFont="1" applyFill="1"/>
    <xf numFmtId="164" fontId="6" fillId="4" borderId="1" xfId="1" applyNumberFormat="1" applyFont="1" applyFill="1" applyBorder="1"/>
    <xf numFmtId="164" fontId="6" fillId="0" borderId="0" xfId="1" applyNumberFormat="1" applyFont="1"/>
    <xf numFmtId="164" fontId="6" fillId="0" borderId="1" xfId="1" applyNumberFormat="1" applyFont="1" applyBorder="1"/>
    <xf numFmtId="0" fontId="6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5"/>
  <sheetViews>
    <sheetView tabSelected="1" workbookViewId="0">
      <selection activeCell="Q17" sqref="Q17"/>
    </sheetView>
  </sheetViews>
  <sheetFormatPr defaultRowHeight="14.4" x14ac:dyDescent="0.3"/>
  <cols>
    <col min="2" max="2" width="34.88671875" bestFit="1" customWidth="1"/>
    <col min="3" max="3" width="1.88671875" customWidth="1"/>
    <col min="4" max="4" width="12.109375" customWidth="1"/>
    <col min="5" max="5" width="1.88671875" customWidth="1"/>
    <col min="6" max="6" width="12.33203125" customWidth="1"/>
    <col min="7" max="7" width="1.88671875" customWidth="1"/>
    <col min="8" max="8" width="10.5546875" bestFit="1" customWidth="1"/>
    <col min="9" max="9" width="1.88671875" customWidth="1"/>
    <col min="10" max="10" width="20.109375" customWidth="1"/>
    <col min="11" max="11" width="1.88671875" customWidth="1"/>
    <col min="12" max="12" width="12.33203125" customWidth="1"/>
  </cols>
  <sheetData>
    <row r="1" spans="1:15" ht="18" x14ac:dyDescent="0.35">
      <c r="A1" s="4" t="s">
        <v>18</v>
      </c>
    </row>
    <row r="2" spans="1:15" ht="15.6" x14ac:dyDescent="0.3">
      <c r="A2" s="3" t="s">
        <v>8</v>
      </c>
    </row>
    <row r="3" spans="1:15" x14ac:dyDescent="0.3">
      <c r="A3" s="1" t="s">
        <v>30</v>
      </c>
    </row>
    <row r="4" spans="1:15" x14ac:dyDescent="0.3">
      <c r="A4" t="s">
        <v>26</v>
      </c>
      <c r="F4" t="s">
        <v>27</v>
      </c>
    </row>
    <row r="6" spans="1:15" ht="52.5" customHeight="1" x14ac:dyDescent="0.3">
      <c r="B6" s="2"/>
      <c r="C6" s="2"/>
      <c r="D6" s="14" t="s">
        <v>10</v>
      </c>
      <c r="E6" s="15"/>
      <c r="F6" s="22" t="s">
        <v>31</v>
      </c>
      <c r="G6" s="15"/>
      <c r="H6" s="14" t="s">
        <v>11</v>
      </c>
      <c r="I6" s="14"/>
      <c r="J6" s="14" t="s">
        <v>16</v>
      </c>
      <c r="K6" s="15"/>
      <c r="L6" s="14" t="s">
        <v>12</v>
      </c>
    </row>
    <row r="7" spans="1:15" ht="6" customHeight="1" x14ac:dyDescent="0.3">
      <c r="D7" s="5"/>
      <c r="E7" s="6"/>
      <c r="F7" s="5"/>
      <c r="G7" s="6"/>
      <c r="H7" s="5"/>
      <c r="I7" s="5"/>
      <c r="J7" s="5"/>
      <c r="K7" s="6"/>
      <c r="L7" s="5"/>
    </row>
    <row r="8" spans="1:15" x14ac:dyDescent="0.3">
      <c r="B8" s="1" t="s">
        <v>1</v>
      </c>
      <c r="D8" s="8"/>
      <c r="E8" s="8"/>
      <c r="F8" s="8"/>
      <c r="G8" s="8"/>
      <c r="H8" s="8"/>
      <c r="I8" s="8"/>
      <c r="J8" s="8"/>
      <c r="K8" s="8"/>
      <c r="L8" s="8"/>
    </row>
    <row r="9" spans="1:15" x14ac:dyDescent="0.3">
      <c r="B9" t="s">
        <v>0</v>
      </c>
      <c r="D9" s="8"/>
      <c r="E9" s="8"/>
      <c r="F9" s="28"/>
      <c r="G9" s="8"/>
      <c r="H9" s="8"/>
      <c r="I9" s="8"/>
      <c r="J9" s="8"/>
      <c r="K9" s="8"/>
      <c r="L9" s="8"/>
    </row>
    <row r="10" spans="1:15" x14ac:dyDescent="0.3">
      <c r="B10" s="13" t="s">
        <v>13</v>
      </c>
      <c r="D10" s="8">
        <f>'2010-792'!D10+'2011-585'!D10+'2012-381'!D10+'2012-630'!D10</f>
        <v>6231595.1500000004</v>
      </c>
      <c r="E10" s="8">
        <f>'2010-792'!E10+'2011-585'!E10+'2012-381'!E10+'2012-630'!E10</f>
        <v>0</v>
      </c>
      <c r="F10" s="28">
        <f>'2010-792'!F10+'2011-585'!F10+'2012-381'!F10+'2012-630'!F10</f>
        <v>1388105</v>
      </c>
      <c r="G10" s="8">
        <f>'2010-792'!G10+'2011-585'!G10+'2012-381'!G10+'2012-630'!G10</f>
        <v>0</v>
      </c>
      <c r="H10" s="8">
        <f>'2010-792'!H10+'2011-585'!H10+'2012-381'!H10+'2012-630'!H10</f>
        <v>5418891</v>
      </c>
      <c r="I10" s="8">
        <f>'2010-792'!I10+'2011-585'!I10+'2012-381'!I10+'2012-630'!I10</f>
        <v>0</v>
      </c>
      <c r="J10" s="8">
        <f>'2010-792'!J10+'2011-585'!J10+'2012-381'!J10+'2012-630'!J10</f>
        <v>1482479.4857142859</v>
      </c>
      <c r="K10" s="8">
        <f>'2010-792'!K10+'2011-585'!K10+'2012-381'!K10+'2012-630'!K10</f>
        <v>0</v>
      </c>
      <c r="L10" s="8">
        <f>D10-H10</f>
        <v>812704.15000000037</v>
      </c>
    </row>
    <row r="11" spans="1:15" x14ac:dyDescent="0.3">
      <c r="B11" s="13" t="s">
        <v>17</v>
      </c>
      <c r="D11" s="8">
        <f>'2010-792'!D11+'2011-585'!D11+'2012-381'!D11+'2012-630'!D11</f>
        <v>4550595.1500000004</v>
      </c>
      <c r="E11" s="8">
        <f>'2010-792'!E11+'2011-585'!E11+'2012-381'!E11+'2012-630'!E11</f>
        <v>0</v>
      </c>
      <c r="F11" s="28">
        <f>'2010-792'!F11+'2011-585'!F11+'2012-381'!F11+'2012-630'!F11</f>
        <v>313694</v>
      </c>
      <c r="G11" s="8">
        <f>'2010-792'!G11+'2011-585'!G11+'2012-381'!G11+'2012-630'!G11</f>
        <v>0</v>
      </c>
      <c r="H11" s="8">
        <f>'2010-792'!H11+'2011-585'!H11+'2012-381'!H11+'2012-630'!H11</f>
        <v>2375528</v>
      </c>
      <c r="I11" s="8">
        <f>'2010-792'!I11+'2011-585'!I11+'2012-381'!I11+'2012-630'!I11</f>
        <v>0</v>
      </c>
      <c r="J11" s="8">
        <f>'2010-792'!J11+'2011-585'!J11+'2012-381'!J11+'2012-630'!J11</f>
        <v>-238740.65714285712</v>
      </c>
      <c r="K11" s="8">
        <f>'2010-792'!K11+'2011-585'!K11+'2012-381'!K11+'2012-630'!K11</f>
        <v>0</v>
      </c>
      <c r="L11" s="8">
        <f>D11-H11</f>
        <v>2175067.1500000004</v>
      </c>
    </row>
    <row r="12" spans="1:15" x14ac:dyDescent="0.3">
      <c r="B12" t="s">
        <v>20</v>
      </c>
      <c r="D12" s="8">
        <f>'2010-792'!D12+'2011-585'!D12+'2012-381'!D12+'2012-630'!D12</f>
        <v>1103577</v>
      </c>
      <c r="E12" s="8">
        <f>'2010-792'!E12+'2011-585'!E12+'2012-381'!E12+'2012-630'!E12</f>
        <v>0</v>
      </c>
      <c r="F12" s="28">
        <f>'2010-792'!F12+'2011-585'!F12+'2012-381'!F12+'2012-630'!F12</f>
        <v>156925</v>
      </c>
      <c r="G12" s="8">
        <f>'2010-792'!G12+'2011-585'!G12+'2012-381'!G12+'2012-630'!G12</f>
        <v>0</v>
      </c>
      <c r="H12" s="8">
        <f>'2010-792'!H12+'2011-585'!H12+'2012-381'!H12+'2012-630'!H12</f>
        <v>858238</v>
      </c>
      <c r="I12" s="8">
        <f>'2010-792'!I12+'2011-585'!I12+'2012-381'!I12+'2012-630'!I12</f>
        <v>0</v>
      </c>
      <c r="J12" s="8">
        <f>'2010-792'!J12+'2011-585'!J12+'2012-381'!J12+'2012-630'!J12</f>
        <v>211336.85714285716</v>
      </c>
      <c r="K12" s="8">
        <f>'2010-792'!K12+'2011-585'!K12+'2012-381'!K12+'2012-630'!K12</f>
        <v>0</v>
      </c>
      <c r="L12" s="8">
        <f>D12-H12</f>
        <v>245339</v>
      </c>
    </row>
    <row r="13" spans="1:15" ht="6.75" customHeight="1" x14ac:dyDescent="0.3">
      <c r="F13" s="29"/>
    </row>
    <row r="14" spans="1:15" x14ac:dyDescent="0.3">
      <c r="B14" s="2" t="s">
        <v>15</v>
      </c>
      <c r="C14" s="2"/>
      <c r="D14" s="11">
        <f>SUM(D9:D12)</f>
        <v>11885767.300000001</v>
      </c>
      <c r="E14" s="11"/>
      <c r="F14" s="30">
        <f>SUM(F9:F12)</f>
        <v>1858724</v>
      </c>
      <c r="G14" s="11"/>
      <c r="H14" s="11">
        <f>SUM(H9:H12)</f>
        <v>8652657</v>
      </c>
      <c r="I14" s="11"/>
      <c r="J14" s="17">
        <f>SUM(J9:J12)</f>
        <v>1455075.6857142858</v>
      </c>
      <c r="K14" s="11"/>
      <c r="L14" s="11">
        <f>SUM(L9:L12)</f>
        <v>3233110.3000000007</v>
      </c>
      <c r="O14" s="20"/>
    </row>
    <row r="15" spans="1:15" ht="9" customHeight="1" x14ac:dyDescent="0.3">
      <c r="F15" s="29"/>
    </row>
    <row r="16" spans="1:15" x14ac:dyDescent="0.3">
      <c r="B16" s="1" t="s">
        <v>2</v>
      </c>
      <c r="D16" s="8"/>
      <c r="E16" s="8"/>
      <c r="F16" s="28"/>
      <c r="G16" s="8"/>
      <c r="H16" s="8"/>
      <c r="I16" s="8"/>
      <c r="J16" s="8"/>
      <c r="K16" s="8"/>
      <c r="L16" s="8"/>
    </row>
    <row r="17" spans="2:12" x14ac:dyDescent="0.3">
      <c r="B17" t="s">
        <v>3</v>
      </c>
      <c r="D17" s="8">
        <f>'2010-792'!D17+'2011-585'!D17+'2012-381'!D17+'2012-630'!D17</f>
        <v>100000</v>
      </c>
      <c r="E17" s="8">
        <f>'2010-792'!E17+'2011-585'!E17+'2012-381'!E17+'2012-630'!E17</f>
        <v>0</v>
      </c>
      <c r="F17" s="28">
        <f>'2010-792'!F17+'2011-585'!F17+'2012-381'!F17+'2012-630'!F17</f>
        <v>13383</v>
      </c>
      <c r="G17" s="8">
        <f>'2010-792'!G17+'2011-585'!G17+'2012-381'!G17+'2012-630'!G17</f>
        <v>0</v>
      </c>
      <c r="H17" s="8">
        <f>'2010-792'!H17+'2011-585'!H17+'2012-381'!H17+'2012-630'!H17</f>
        <v>75811</v>
      </c>
      <c r="I17" s="8">
        <f>'2010-792'!I17+'2011-585'!I17+'2012-381'!I17+'2012-630'!I17</f>
        <v>0</v>
      </c>
      <c r="J17" s="16">
        <f>'2010-792'!J17+'2011-585'!J17+'2012-381'!J17+'2012-630'!J17</f>
        <v>4382.4285714285725</v>
      </c>
      <c r="K17" s="8">
        <f>'2010-792'!K17+'2011-585'!K17+'2012-381'!K17+'2012-630'!K17</f>
        <v>0</v>
      </c>
      <c r="L17" s="8">
        <f>D17-H17</f>
        <v>24189</v>
      </c>
    </row>
    <row r="18" spans="2:12" x14ac:dyDescent="0.3">
      <c r="B18" t="s">
        <v>5</v>
      </c>
      <c r="D18" s="8">
        <f>'2010-792'!D18+'2011-585'!D18+'2012-381'!D18+'2012-630'!D18</f>
        <v>65000</v>
      </c>
      <c r="E18" s="8">
        <f>'2010-792'!E18+'2011-585'!E18+'2012-381'!E18+'2012-630'!E18</f>
        <v>0</v>
      </c>
      <c r="F18" s="28">
        <f>'2010-792'!F18+'2011-585'!F18+'2012-381'!F18+'2012-630'!F18</f>
        <v>6000</v>
      </c>
      <c r="G18" s="8">
        <f>'2010-792'!G18+'2011-585'!G18+'2012-381'!G18+'2012-630'!G18</f>
        <v>0</v>
      </c>
      <c r="H18" s="8">
        <f>'2010-792'!H18+'2011-585'!H18+'2012-381'!H18+'2012-630'!H18</f>
        <v>51000</v>
      </c>
      <c r="I18" s="8">
        <f>'2010-792'!I18+'2011-585'!I18+'2012-381'!I18+'2012-630'!I18</f>
        <v>0</v>
      </c>
      <c r="J18" s="8">
        <f>'2010-792'!J18+'2011-585'!J18+'2012-381'!J18+'2012-630'!J18</f>
        <v>-4714.2857142857174</v>
      </c>
      <c r="K18" s="8">
        <f>'2010-792'!K18+'2011-585'!K18+'2012-381'!K18+'2012-630'!K18</f>
        <v>0</v>
      </c>
      <c r="L18" s="8">
        <f>D18-H18</f>
        <v>14000</v>
      </c>
    </row>
    <row r="19" spans="2:12" x14ac:dyDescent="0.3">
      <c r="B19" t="s">
        <v>4</v>
      </c>
      <c r="D19" s="8">
        <f>'2010-792'!D19+'2011-585'!D19+'2012-381'!D19+'2012-630'!D19</f>
        <v>35000</v>
      </c>
      <c r="E19" s="8">
        <f>'2010-792'!E19+'2011-585'!E19+'2012-381'!E19+'2012-630'!E19</f>
        <v>0</v>
      </c>
      <c r="F19" s="31">
        <f>'2010-792'!F19+'2011-585'!F19+'2012-381'!F19+'2012-630'!F19</f>
        <v>0</v>
      </c>
      <c r="G19" s="8">
        <f>'2010-792'!G19+'2011-585'!G19+'2012-381'!G19+'2012-630'!G19</f>
        <v>0</v>
      </c>
      <c r="H19" s="8">
        <f>'2010-792'!H19+'2011-585'!H19+'2012-381'!H19+'2012-630'!H19</f>
        <v>35000</v>
      </c>
      <c r="I19" s="8">
        <f>'2010-792'!I19+'2011-585'!I19+'2012-381'!I19+'2012-630'!I19</f>
        <v>0</v>
      </c>
      <c r="J19" s="8">
        <f>'2010-792'!J19+'2011-585'!J19+'2012-381'!J19+'2012-630'!J19</f>
        <v>5000</v>
      </c>
      <c r="K19" s="8">
        <f>'2010-792'!K19+'2011-585'!K19+'2012-381'!K19+'2012-630'!K19</f>
        <v>0</v>
      </c>
      <c r="L19" s="8">
        <f>D19-H19</f>
        <v>0</v>
      </c>
    </row>
    <row r="20" spans="2:12" ht="8.25" customHeight="1" x14ac:dyDescent="0.3">
      <c r="D20" s="8"/>
      <c r="E20" s="8"/>
      <c r="F20" s="31"/>
      <c r="G20" s="8"/>
      <c r="H20" s="8"/>
      <c r="I20" s="8"/>
      <c r="J20" s="8"/>
      <c r="K20" s="8"/>
      <c r="L20" s="8"/>
    </row>
    <row r="21" spans="2:12" x14ac:dyDescent="0.3">
      <c r="B21" s="2" t="s">
        <v>6</v>
      </c>
      <c r="C21" s="2"/>
      <c r="D21" s="11">
        <f>SUM(D16:D19)</f>
        <v>200000</v>
      </c>
      <c r="E21" s="11"/>
      <c r="F21" s="32">
        <f>SUM(F16:F19)</f>
        <v>19383</v>
      </c>
      <c r="G21" s="11"/>
      <c r="H21" s="11">
        <f>SUM(H16:H19)</f>
        <v>161811</v>
      </c>
      <c r="I21" s="11"/>
      <c r="J21" s="17">
        <f>SUM(J16:J19)</f>
        <v>4668.1428571428551</v>
      </c>
      <c r="K21" s="11"/>
      <c r="L21" s="11">
        <f>SUM(L16:L19)</f>
        <v>38189</v>
      </c>
    </row>
    <row r="22" spans="2:12" x14ac:dyDescent="0.3">
      <c r="F22" s="33"/>
    </row>
    <row r="23" spans="2:12" ht="15" thickBot="1" x14ac:dyDescent="0.35">
      <c r="B23" s="9" t="s">
        <v>7</v>
      </c>
      <c r="C23" s="9"/>
      <c r="D23" s="12">
        <f>D14+D21</f>
        <v>12085767.300000001</v>
      </c>
      <c r="E23" s="9"/>
      <c r="F23" s="27">
        <f>F14+F21</f>
        <v>1878107</v>
      </c>
      <c r="G23" s="9"/>
      <c r="H23" s="12">
        <f>H14+H21</f>
        <v>8814468</v>
      </c>
      <c r="I23" s="12"/>
      <c r="J23" s="18">
        <f>J14+J21</f>
        <v>1459743.8285714288</v>
      </c>
      <c r="K23" s="9"/>
      <c r="L23" s="12">
        <f>L14+L21</f>
        <v>3271299.3000000007</v>
      </c>
    </row>
    <row r="24" spans="2:12" ht="15" thickTop="1" x14ac:dyDescent="0.3"/>
    <row r="25" spans="2:12" x14ac:dyDescent="0.3">
      <c r="F25" s="8"/>
    </row>
  </sheetData>
  <pageMargins left="0.23622047244094491" right="0.23622047244094491" top="0.74803149606299213" bottom="0.74803149606299213" header="0.31496062992125984" footer="0.31496062992125984"/>
  <pageSetup orientation="landscape" r:id="rId1"/>
  <headerFooter>
    <oddFooter>&amp;L&amp;Z&amp;F&amp;A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workbookViewId="0">
      <selection activeCell="R20" sqref="R20"/>
    </sheetView>
  </sheetViews>
  <sheetFormatPr defaultRowHeight="14.4" x14ac:dyDescent="0.3"/>
  <cols>
    <col min="2" max="2" width="34.88671875" bestFit="1" customWidth="1"/>
    <col min="3" max="3" width="1.88671875" customWidth="1"/>
    <col min="4" max="4" width="12.109375" customWidth="1"/>
    <col min="5" max="5" width="1.88671875" customWidth="1"/>
    <col min="6" max="6" width="12.33203125" customWidth="1"/>
    <col min="7" max="7" width="1.88671875" customWidth="1"/>
    <col min="8" max="8" width="10.5546875" bestFit="1" customWidth="1"/>
    <col min="9" max="9" width="1.88671875" customWidth="1"/>
    <col min="10" max="10" width="20.109375" customWidth="1"/>
    <col min="11" max="11" width="1.88671875" customWidth="1"/>
    <col min="12" max="12" width="12.33203125" customWidth="1"/>
  </cols>
  <sheetData>
    <row r="1" spans="1:12" ht="18" x14ac:dyDescent="0.35">
      <c r="A1" s="4" t="s">
        <v>18</v>
      </c>
    </row>
    <row r="2" spans="1:12" ht="15.6" x14ac:dyDescent="0.3">
      <c r="A2" s="3" t="s">
        <v>8</v>
      </c>
    </row>
    <row r="3" spans="1:12" x14ac:dyDescent="0.3">
      <c r="A3" s="1" t="s">
        <v>30</v>
      </c>
    </row>
    <row r="4" spans="1:12" x14ac:dyDescent="0.3">
      <c r="A4" s="21" t="s">
        <v>19</v>
      </c>
      <c r="B4" s="21"/>
      <c r="F4" t="s">
        <v>21</v>
      </c>
    </row>
    <row r="5" spans="1:12" x14ac:dyDescent="0.3">
      <c r="J5">
        <v>5</v>
      </c>
      <c r="K5" t="s">
        <v>28</v>
      </c>
    </row>
    <row r="6" spans="1:12" ht="52.5" customHeight="1" x14ac:dyDescent="0.3">
      <c r="B6" s="2"/>
      <c r="C6" s="2"/>
      <c r="D6" s="14" t="s">
        <v>10</v>
      </c>
      <c r="E6" s="15"/>
      <c r="F6" s="22" t="s">
        <v>31</v>
      </c>
      <c r="G6" s="15"/>
      <c r="H6" s="14" t="s">
        <v>11</v>
      </c>
      <c r="I6" s="14"/>
      <c r="J6" s="14" t="s">
        <v>16</v>
      </c>
      <c r="K6" s="15"/>
      <c r="L6" s="14" t="s">
        <v>12</v>
      </c>
    </row>
    <row r="7" spans="1:12" ht="6" customHeight="1" x14ac:dyDescent="0.3">
      <c r="D7" s="5"/>
      <c r="E7" s="6"/>
      <c r="F7" s="5"/>
      <c r="G7" s="6"/>
      <c r="H7" s="5"/>
      <c r="I7" s="5"/>
      <c r="J7" s="5"/>
      <c r="K7" s="6"/>
      <c r="L7" s="5"/>
    </row>
    <row r="8" spans="1:12" x14ac:dyDescent="0.3">
      <c r="B8" s="1" t="s">
        <v>1</v>
      </c>
      <c r="D8" s="8"/>
      <c r="E8" s="8"/>
      <c r="F8" s="8"/>
      <c r="G8" s="8"/>
      <c r="H8" s="8"/>
      <c r="I8" s="8"/>
      <c r="J8" s="8"/>
      <c r="K8" s="8"/>
      <c r="L8" s="8"/>
    </row>
    <row r="9" spans="1:12" x14ac:dyDescent="0.3">
      <c r="B9" t="s">
        <v>0</v>
      </c>
      <c r="D9" s="8"/>
      <c r="E9" s="8"/>
      <c r="F9" s="23"/>
      <c r="G9" s="8"/>
      <c r="H9" s="8"/>
      <c r="I9" s="8"/>
      <c r="J9" s="8"/>
      <c r="K9" s="8"/>
      <c r="L9" s="8">
        <f>D9-H9</f>
        <v>0</v>
      </c>
    </row>
    <row r="10" spans="1:12" x14ac:dyDescent="0.3">
      <c r="B10" s="13" t="s">
        <v>13</v>
      </c>
      <c r="D10" s="8">
        <v>850000</v>
      </c>
      <c r="E10" s="8"/>
      <c r="F10" s="23">
        <v>242857</v>
      </c>
      <c r="G10" s="8"/>
      <c r="H10" s="8">
        <f>F10+10034+597109</f>
        <v>850000</v>
      </c>
      <c r="I10" s="8"/>
      <c r="J10" s="16">
        <f>(-D10/7)*6+H10</f>
        <v>121428.57142857136</v>
      </c>
      <c r="K10" s="8"/>
      <c r="L10" s="8">
        <f>D10-H10</f>
        <v>0</v>
      </c>
    </row>
    <row r="11" spans="1:12" x14ac:dyDescent="0.3">
      <c r="B11" s="13" t="s">
        <v>17</v>
      </c>
      <c r="D11" s="8">
        <v>0</v>
      </c>
      <c r="E11" s="8"/>
      <c r="F11" s="23">
        <v>0</v>
      </c>
      <c r="G11" s="8"/>
      <c r="H11" s="8">
        <v>0</v>
      </c>
      <c r="I11" s="8"/>
      <c r="J11" s="16">
        <f>(-D11/7)*4+H11</f>
        <v>0</v>
      </c>
      <c r="K11" s="8"/>
      <c r="L11" s="8">
        <f>D11-H11</f>
        <v>0</v>
      </c>
    </row>
    <row r="12" spans="1:12" x14ac:dyDescent="0.3">
      <c r="B12" t="s">
        <v>14</v>
      </c>
      <c r="D12" s="8">
        <v>0</v>
      </c>
      <c r="E12" s="8"/>
      <c r="F12" s="23">
        <v>0</v>
      </c>
      <c r="G12" s="8"/>
      <c r="H12" s="8">
        <v>0</v>
      </c>
      <c r="I12" s="8"/>
      <c r="J12" s="16">
        <f>(-D12/7)*4+H12</f>
        <v>0</v>
      </c>
      <c r="K12" s="8"/>
      <c r="L12" s="8">
        <f>D12-H12</f>
        <v>0</v>
      </c>
    </row>
    <row r="13" spans="1:12" ht="6.75" customHeight="1" x14ac:dyDescent="0.3">
      <c r="F13" s="24"/>
    </row>
    <row r="14" spans="1:12" x14ac:dyDescent="0.3">
      <c r="B14" s="2" t="s">
        <v>15</v>
      </c>
      <c r="C14" s="2"/>
      <c r="D14" s="11">
        <f>SUM(D9:D12)</f>
        <v>850000</v>
      </c>
      <c r="E14" s="11"/>
      <c r="F14" s="25">
        <f>SUM(F9:F12)</f>
        <v>242857</v>
      </c>
      <c r="G14" s="11"/>
      <c r="H14" s="11">
        <f>SUM(H9:H12)</f>
        <v>850000</v>
      </c>
      <c r="I14" s="11"/>
      <c r="J14" s="17">
        <f>SUM(J9:J12)</f>
        <v>121428.57142857136</v>
      </c>
      <c r="K14" s="11"/>
      <c r="L14" s="11">
        <f>SUM(L9:L12)</f>
        <v>0</v>
      </c>
    </row>
    <row r="15" spans="1:12" ht="9" customHeight="1" x14ac:dyDescent="0.3">
      <c r="F15" s="24"/>
    </row>
    <row r="16" spans="1:12" x14ac:dyDescent="0.3">
      <c r="B16" s="1" t="s">
        <v>2</v>
      </c>
      <c r="D16" s="8"/>
      <c r="E16" s="8"/>
      <c r="F16" s="23"/>
      <c r="G16" s="8"/>
      <c r="H16" s="8"/>
      <c r="I16" s="8"/>
      <c r="J16" s="8"/>
      <c r="K16" s="8"/>
      <c r="L16" s="8"/>
    </row>
    <row r="17" spans="2:12" x14ac:dyDescent="0.3">
      <c r="B17" t="s">
        <v>3</v>
      </c>
      <c r="D17" s="8">
        <v>50000</v>
      </c>
      <c r="E17" s="8"/>
      <c r="F17" s="23">
        <v>5050</v>
      </c>
      <c r="G17" s="8"/>
      <c r="H17" s="8">
        <f>F17+8333+8000+8333+16333</f>
        <v>46049</v>
      </c>
      <c r="I17" s="8"/>
      <c r="J17" s="16">
        <f>(-D17/7)*6+H17</f>
        <v>3191.8571428571449</v>
      </c>
      <c r="K17" s="8"/>
      <c r="L17" s="8">
        <f>D17-H17</f>
        <v>3951</v>
      </c>
    </row>
    <row r="18" spans="2:12" x14ac:dyDescent="0.3">
      <c r="B18" t="s">
        <v>5</v>
      </c>
      <c r="D18" s="8">
        <v>65000</v>
      </c>
      <c r="E18" s="8"/>
      <c r="F18" s="23">
        <v>6000</v>
      </c>
      <c r="G18" s="8"/>
      <c r="H18" s="8">
        <f>F18+13000+25000+7000</f>
        <v>51000</v>
      </c>
      <c r="I18" s="8"/>
      <c r="J18" s="16">
        <f>(-D18/7)*6+H18</f>
        <v>-4714.2857142857174</v>
      </c>
      <c r="K18" s="8"/>
      <c r="L18" s="8">
        <f>D18-H18</f>
        <v>14000</v>
      </c>
    </row>
    <row r="19" spans="2:12" x14ac:dyDescent="0.3">
      <c r="B19" t="s">
        <v>4</v>
      </c>
      <c r="D19" s="8">
        <v>35000</v>
      </c>
      <c r="E19" s="8"/>
      <c r="F19" s="23">
        <v>0</v>
      </c>
      <c r="G19" s="8"/>
      <c r="H19" s="8">
        <f>8000+F19+8000+10000+9000</f>
        <v>35000</v>
      </c>
      <c r="I19" s="8"/>
      <c r="J19" s="16">
        <f>(-D19/7)*6+H19</f>
        <v>5000</v>
      </c>
      <c r="K19" s="8"/>
      <c r="L19" s="8">
        <f>D19-H19</f>
        <v>0</v>
      </c>
    </row>
    <row r="20" spans="2:12" ht="8.25" customHeight="1" x14ac:dyDescent="0.3">
      <c r="D20" s="8"/>
      <c r="E20" s="8"/>
      <c r="F20" s="8"/>
      <c r="G20" s="8"/>
      <c r="H20" s="8"/>
      <c r="I20" s="8"/>
      <c r="J20" s="8"/>
      <c r="K20" s="8"/>
      <c r="L20" s="8"/>
    </row>
    <row r="21" spans="2:12" x14ac:dyDescent="0.3">
      <c r="B21" s="2" t="s">
        <v>6</v>
      </c>
      <c r="C21" s="2"/>
      <c r="D21" s="11">
        <f>SUM(D16:D19)</f>
        <v>150000</v>
      </c>
      <c r="E21" s="11"/>
      <c r="F21" s="11">
        <f>SUM(F16:F19)</f>
        <v>11050</v>
      </c>
      <c r="G21" s="11"/>
      <c r="H21" s="11">
        <f>SUM(H16:H19)</f>
        <v>132049</v>
      </c>
      <c r="I21" s="11"/>
      <c r="J21" s="17">
        <f>SUM(J16:J19)</f>
        <v>3477.5714285714275</v>
      </c>
      <c r="K21" s="11"/>
      <c r="L21" s="11">
        <f>SUM(L16:L19)</f>
        <v>17951</v>
      </c>
    </row>
    <row r="23" spans="2:12" ht="15" thickBot="1" x14ac:dyDescent="0.35">
      <c r="B23" s="9" t="s">
        <v>7</v>
      </c>
      <c r="C23" s="9"/>
      <c r="D23" s="12">
        <f>D14+D21</f>
        <v>1000000</v>
      </c>
      <c r="E23" s="9"/>
      <c r="F23" s="12">
        <f>F14+F21</f>
        <v>253907</v>
      </c>
      <c r="G23" s="9"/>
      <c r="H23" s="12">
        <f>H14+H21</f>
        <v>982049</v>
      </c>
      <c r="I23" s="12"/>
      <c r="J23" s="18">
        <f>J14+J21</f>
        <v>124906.14285714278</v>
      </c>
      <c r="K23" s="9"/>
      <c r="L23" s="12">
        <f>L14+L21</f>
        <v>17951</v>
      </c>
    </row>
    <row r="24" spans="2:12" ht="15" thickTop="1" x14ac:dyDescent="0.3"/>
  </sheetData>
  <pageMargins left="0.23622047244094491" right="0.23622047244094491" top="0.74803149606299213" bottom="0.74803149606299213" header="0.31496062992125984" footer="0.31496062992125984"/>
  <pageSetup orientation="landscape" r:id="rId1"/>
  <headerFooter>
    <oddFooter>&amp;L&amp;Z&amp;F&amp;A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"/>
  <sheetViews>
    <sheetView workbookViewId="0">
      <selection activeCell="Q19" sqref="Q19"/>
    </sheetView>
  </sheetViews>
  <sheetFormatPr defaultRowHeight="14.4" x14ac:dyDescent="0.3"/>
  <cols>
    <col min="2" max="2" width="43.33203125" customWidth="1"/>
    <col min="3" max="3" width="1.88671875" customWidth="1"/>
    <col min="4" max="4" width="12.109375" customWidth="1"/>
    <col min="5" max="5" width="1.88671875" customWidth="1"/>
    <col min="6" max="6" width="12.33203125" customWidth="1"/>
    <col min="7" max="7" width="1.88671875" customWidth="1"/>
    <col min="8" max="8" width="10.5546875" bestFit="1" customWidth="1"/>
    <col min="9" max="9" width="1.88671875" customWidth="1"/>
    <col min="10" max="10" width="20.109375" customWidth="1"/>
    <col min="11" max="11" width="1.88671875" customWidth="1"/>
    <col min="12" max="12" width="12.33203125" customWidth="1"/>
  </cols>
  <sheetData>
    <row r="1" spans="1:16" ht="18" x14ac:dyDescent="0.35">
      <c r="A1" s="4" t="s">
        <v>18</v>
      </c>
    </row>
    <row r="2" spans="1:16" ht="15.6" x14ac:dyDescent="0.3">
      <c r="A2" s="3" t="s">
        <v>8</v>
      </c>
    </row>
    <row r="3" spans="1:16" x14ac:dyDescent="0.3">
      <c r="A3" s="1" t="s">
        <v>30</v>
      </c>
    </row>
    <row r="4" spans="1:16" x14ac:dyDescent="0.3">
      <c r="A4" s="21" t="s">
        <v>23</v>
      </c>
      <c r="B4" s="21"/>
      <c r="F4" t="s">
        <v>25</v>
      </c>
    </row>
    <row r="5" spans="1:16" x14ac:dyDescent="0.3">
      <c r="J5">
        <v>5</v>
      </c>
      <c r="K5" t="s">
        <v>29</v>
      </c>
    </row>
    <row r="6" spans="1:16" ht="52.5" customHeight="1" x14ac:dyDescent="0.3">
      <c r="B6" s="2"/>
      <c r="C6" s="2"/>
      <c r="D6" s="14" t="s">
        <v>10</v>
      </c>
      <c r="E6" s="15"/>
      <c r="F6" s="22" t="s">
        <v>31</v>
      </c>
      <c r="G6" s="15"/>
      <c r="H6" s="14" t="s">
        <v>11</v>
      </c>
      <c r="I6" s="14"/>
      <c r="J6" s="14" t="s">
        <v>16</v>
      </c>
      <c r="K6" s="15"/>
      <c r="L6" s="14" t="s">
        <v>12</v>
      </c>
    </row>
    <row r="7" spans="1:16" ht="6" customHeight="1" x14ac:dyDescent="0.3">
      <c r="D7" s="5"/>
      <c r="E7" s="6"/>
      <c r="F7" s="5"/>
      <c r="G7" s="6"/>
      <c r="H7" s="5"/>
      <c r="I7" s="5"/>
      <c r="J7" s="5"/>
      <c r="K7" s="6"/>
      <c r="L7" s="5"/>
    </row>
    <row r="8" spans="1:16" x14ac:dyDescent="0.3">
      <c r="B8" s="1" t="s">
        <v>1</v>
      </c>
      <c r="D8" s="8"/>
      <c r="E8" s="8"/>
      <c r="F8" s="8"/>
      <c r="G8" s="8"/>
      <c r="H8" s="8"/>
      <c r="I8" s="8"/>
      <c r="J8" s="8"/>
      <c r="K8" s="8"/>
      <c r="L8" s="8"/>
    </row>
    <row r="9" spans="1:16" x14ac:dyDescent="0.3">
      <c r="B9" t="s">
        <v>0</v>
      </c>
      <c r="D9" s="8"/>
      <c r="E9" s="8"/>
      <c r="F9" s="23"/>
      <c r="G9" s="8"/>
      <c r="H9" s="8"/>
      <c r="I9" s="8"/>
      <c r="J9" s="8"/>
      <c r="K9" s="8"/>
      <c r="L9" s="8"/>
    </row>
    <row r="10" spans="1:16" x14ac:dyDescent="0.3">
      <c r="B10" s="13" t="s">
        <v>13</v>
      </c>
      <c r="D10" s="8">
        <v>1356000</v>
      </c>
      <c r="E10" s="8"/>
      <c r="F10" s="23">
        <v>774857</v>
      </c>
      <c r="G10" s="8"/>
      <c r="H10" s="8">
        <f>F10+488191+92952</f>
        <v>1356000</v>
      </c>
      <c r="I10" s="8"/>
      <c r="J10" s="16">
        <f>(-D10/7)*5+H10</f>
        <v>387428.57142857148</v>
      </c>
      <c r="K10" s="8"/>
      <c r="L10" s="8">
        <f>D10-H10</f>
        <v>0</v>
      </c>
      <c r="P10" s="20"/>
    </row>
    <row r="11" spans="1:16" x14ac:dyDescent="0.3">
      <c r="B11" s="13" t="s">
        <v>17</v>
      </c>
      <c r="D11" s="8">
        <v>525000</v>
      </c>
      <c r="E11" s="8"/>
      <c r="F11" s="23">
        <v>0</v>
      </c>
      <c r="G11" s="8"/>
      <c r="H11" s="8">
        <f>F11+520000</f>
        <v>520000</v>
      </c>
      <c r="I11" s="8"/>
      <c r="J11" s="16">
        <f>(-D11/7)*5+H11</f>
        <v>145000</v>
      </c>
      <c r="K11" s="8"/>
      <c r="L11" s="8">
        <f>D11-H11</f>
        <v>5000</v>
      </c>
    </row>
    <row r="12" spans="1:16" x14ac:dyDescent="0.3">
      <c r="B12" t="s">
        <v>14</v>
      </c>
      <c r="D12" s="8">
        <v>209000</v>
      </c>
      <c r="E12" s="8"/>
      <c r="F12" s="23">
        <v>0</v>
      </c>
      <c r="G12" s="8"/>
      <c r="H12" s="8">
        <f>F12+209000</f>
        <v>209000</v>
      </c>
      <c r="I12" s="8"/>
      <c r="J12" s="16">
        <f>(-D12/7)*5+H12</f>
        <v>59714.28571428571</v>
      </c>
      <c r="K12" s="8"/>
      <c r="L12" s="16">
        <f>D12-H12</f>
        <v>0</v>
      </c>
    </row>
    <row r="13" spans="1:16" ht="6.75" customHeight="1" x14ac:dyDescent="0.3">
      <c r="F13" s="24"/>
    </row>
    <row r="14" spans="1:16" x14ac:dyDescent="0.3">
      <c r="B14" s="2" t="s">
        <v>15</v>
      </c>
      <c r="C14" s="2"/>
      <c r="D14" s="11">
        <f>SUM(D9:D12)</f>
        <v>2090000</v>
      </c>
      <c r="E14" s="11"/>
      <c r="F14" s="25">
        <f>SUM(F9:F12)</f>
        <v>774857</v>
      </c>
      <c r="G14" s="11"/>
      <c r="H14" s="11">
        <f>SUM(H9:H12)</f>
        <v>2085000</v>
      </c>
      <c r="I14" s="11"/>
      <c r="J14" s="17">
        <f>SUM(J9:J12)</f>
        <v>592142.85714285716</v>
      </c>
      <c r="K14" s="11"/>
      <c r="L14" s="11">
        <f>SUM(L9:L12)</f>
        <v>5000</v>
      </c>
    </row>
    <row r="15" spans="1:16" ht="9" customHeight="1" x14ac:dyDescent="0.3">
      <c r="F15" s="24"/>
    </row>
    <row r="16" spans="1:16" x14ac:dyDescent="0.3">
      <c r="B16" s="1" t="s">
        <v>2</v>
      </c>
      <c r="D16" s="8"/>
      <c r="E16" s="8"/>
      <c r="F16" s="23"/>
      <c r="G16" s="8"/>
      <c r="H16" s="8"/>
      <c r="I16" s="8"/>
      <c r="J16" s="8"/>
      <c r="K16" s="8"/>
      <c r="L16" s="8"/>
    </row>
    <row r="17" spans="2:12" x14ac:dyDescent="0.3">
      <c r="B17" t="s">
        <v>3</v>
      </c>
      <c r="D17" s="8">
        <v>0</v>
      </c>
      <c r="E17" s="8"/>
      <c r="F17" s="23">
        <v>0</v>
      </c>
      <c r="G17" s="8"/>
      <c r="H17" s="8">
        <f>F17</f>
        <v>0</v>
      </c>
      <c r="I17" s="8"/>
      <c r="J17" s="16">
        <f>(-D17/7)*3+H17</f>
        <v>0</v>
      </c>
      <c r="K17" s="8"/>
      <c r="L17" s="8">
        <f>D17-H17</f>
        <v>0</v>
      </c>
    </row>
    <row r="18" spans="2:12" x14ac:dyDescent="0.3">
      <c r="B18" t="s">
        <v>5</v>
      </c>
      <c r="D18" s="8">
        <v>0</v>
      </c>
      <c r="E18" s="8"/>
      <c r="F18" s="23">
        <v>0</v>
      </c>
      <c r="G18" s="8"/>
      <c r="H18" s="8">
        <f>F18</f>
        <v>0</v>
      </c>
      <c r="I18" s="8"/>
      <c r="J18" s="16">
        <f>(-D18/7)*3+H18</f>
        <v>0</v>
      </c>
      <c r="K18" s="8"/>
      <c r="L18" s="8">
        <f>D18-H18</f>
        <v>0</v>
      </c>
    </row>
    <row r="19" spans="2:12" x14ac:dyDescent="0.3">
      <c r="B19" t="s">
        <v>4</v>
      </c>
      <c r="D19" s="8">
        <v>0</v>
      </c>
      <c r="E19" s="8"/>
      <c r="F19" s="23">
        <v>0</v>
      </c>
      <c r="G19" s="8"/>
      <c r="H19" s="8">
        <f>F19</f>
        <v>0</v>
      </c>
      <c r="I19" s="8"/>
      <c r="J19" s="16">
        <f>(-D19/7)*3+H19</f>
        <v>0</v>
      </c>
      <c r="K19" s="8"/>
      <c r="L19" s="8">
        <f>D19-H19</f>
        <v>0</v>
      </c>
    </row>
    <row r="20" spans="2:12" ht="8.25" customHeight="1" x14ac:dyDescent="0.3">
      <c r="D20" s="8"/>
      <c r="E20" s="8"/>
      <c r="F20" s="23"/>
      <c r="G20" s="8"/>
      <c r="H20" s="8"/>
      <c r="I20" s="8"/>
      <c r="J20" s="7"/>
      <c r="K20" s="8"/>
      <c r="L20" s="8"/>
    </row>
    <row r="21" spans="2:12" x14ac:dyDescent="0.3">
      <c r="B21" s="2" t="s">
        <v>6</v>
      </c>
      <c r="C21" s="2"/>
      <c r="D21" s="11">
        <f>SUM(D16:D19)</f>
        <v>0</v>
      </c>
      <c r="E21" s="11"/>
      <c r="F21" s="26">
        <f>SUM(F16:F19)</f>
        <v>0</v>
      </c>
      <c r="G21" s="11"/>
      <c r="H21" s="11">
        <f>SUM(H16:H19)</f>
        <v>0</v>
      </c>
      <c r="I21" s="11"/>
      <c r="J21" s="10">
        <f>SUM(J16:J19)</f>
        <v>0</v>
      </c>
      <c r="K21" s="11"/>
      <c r="L21" s="11">
        <f>SUM(L16:L19)</f>
        <v>0</v>
      </c>
    </row>
    <row r="23" spans="2:12" ht="15" thickBot="1" x14ac:dyDescent="0.35">
      <c r="B23" s="9" t="s">
        <v>7</v>
      </c>
      <c r="C23" s="9"/>
      <c r="D23" s="12">
        <f>D14+D21</f>
        <v>2090000</v>
      </c>
      <c r="E23" s="9"/>
      <c r="F23" s="12">
        <f>F14+F21</f>
        <v>774857</v>
      </c>
      <c r="G23" s="9"/>
      <c r="H23" s="12">
        <f>H14+H21</f>
        <v>2085000</v>
      </c>
      <c r="I23" s="12"/>
      <c r="J23" s="18">
        <f>J14+J21</f>
        <v>592142.85714285716</v>
      </c>
      <c r="K23" s="9"/>
      <c r="L23" s="12">
        <f>L14+L21</f>
        <v>5000</v>
      </c>
    </row>
    <row r="24" spans="2:12" ht="15" thickTop="1" x14ac:dyDescent="0.3"/>
  </sheetData>
  <pageMargins left="0.23622047244094491" right="0.23622047244094491" top="0.74803149606299213" bottom="0.74803149606299213" header="0.31496062992125984" footer="0.31496062992125984"/>
  <pageSetup orientation="landscape" r:id="rId1"/>
  <headerFooter>
    <oddFooter>&amp;L&amp;Z&amp;F&amp;A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"/>
  <sheetViews>
    <sheetView workbookViewId="0">
      <selection activeCell="N10" sqref="N10:N12"/>
    </sheetView>
  </sheetViews>
  <sheetFormatPr defaultRowHeight="14.4" x14ac:dyDescent="0.3"/>
  <cols>
    <col min="2" max="2" width="34.88671875" bestFit="1" customWidth="1"/>
    <col min="3" max="3" width="1.88671875" customWidth="1"/>
    <col min="4" max="4" width="12.109375" customWidth="1"/>
    <col min="5" max="5" width="1.88671875" customWidth="1"/>
    <col min="6" max="6" width="12.33203125" customWidth="1"/>
    <col min="7" max="7" width="1.88671875" customWidth="1"/>
    <col min="8" max="8" width="10.5546875" bestFit="1" customWidth="1"/>
    <col min="9" max="9" width="1.88671875" customWidth="1"/>
    <col min="10" max="10" width="20.109375" customWidth="1"/>
    <col min="11" max="11" width="1.88671875" customWidth="1"/>
    <col min="12" max="12" width="12.33203125" customWidth="1"/>
    <col min="14" max="14" width="10.5546875" bestFit="1" customWidth="1"/>
  </cols>
  <sheetData>
    <row r="1" spans="1:14" ht="18" x14ac:dyDescent="0.35">
      <c r="A1" s="4" t="s">
        <v>18</v>
      </c>
    </row>
    <row r="2" spans="1:14" ht="15.6" x14ac:dyDescent="0.3">
      <c r="A2" s="3" t="s">
        <v>8</v>
      </c>
    </row>
    <row r="3" spans="1:14" x14ac:dyDescent="0.3">
      <c r="A3" s="1" t="s">
        <v>30</v>
      </c>
    </row>
    <row r="4" spans="1:14" x14ac:dyDescent="0.3">
      <c r="A4" t="s">
        <v>24</v>
      </c>
      <c r="F4" t="s">
        <v>22</v>
      </c>
    </row>
    <row r="5" spans="1:14" x14ac:dyDescent="0.3">
      <c r="J5">
        <v>4</v>
      </c>
      <c r="K5" t="s">
        <v>29</v>
      </c>
    </row>
    <row r="6" spans="1:14" ht="52.5" customHeight="1" x14ac:dyDescent="0.3">
      <c r="B6" s="2"/>
      <c r="C6" s="2"/>
      <c r="D6" s="14" t="s">
        <v>10</v>
      </c>
      <c r="E6" s="15"/>
      <c r="F6" s="22" t="s">
        <v>31</v>
      </c>
      <c r="G6" s="15"/>
      <c r="H6" s="14" t="s">
        <v>11</v>
      </c>
      <c r="I6" s="14"/>
      <c r="J6" s="14" t="s">
        <v>16</v>
      </c>
      <c r="K6" s="15"/>
      <c r="L6" s="14" t="s">
        <v>12</v>
      </c>
    </row>
    <row r="7" spans="1:14" ht="6" customHeight="1" x14ac:dyDescent="0.3">
      <c r="D7" s="5"/>
      <c r="E7" s="6"/>
      <c r="F7" s="5"/>
      <c r="G7" s="6"/>
      <c r="H7" s="5"/>
      <c r="I7" s="5"/>
      <c r="J7" s="5"/>
      <c r="K7" s="6"/>
      <c r="L7" s="5"/>
    </row>
    <row r="8" spans="1:14" x14ac:dyDescent="0.3">
      <c r="B8" s="1" t="s">
        <v>1</v>
      </c>
      <c r="D8" s="8"/>
      <c r="E8" s="8"/>
      <c r="F8" s="8"/>
      <c r="G8" s="8"/>
      <c r="H8" s="8"/>
      <c r="I8" s="8"/>
      <c r="J8" s="8"/>
      <c r="K8" s="8"/>
      <c r="L8" s="8"/>
    </row>
    <row r="9" spans="1:14" x14ac:dyDescent="0.3">
      <c r="B9" t="s">
        <v>0</v>
      </c>
      <c r="D9" s="8"/>
      <c r="E9" s="8"/>
      <c r="F9" s="8"/>
      <c r="G9" s="8"/>
      <c r="H9" s="8"/>
      <c r="I9" s="8"/>
      <c r="J9" s="8"/>
      <c r="K9" s="8"/>
      <c r="L9" s="8">
        <f>D9-H9</f>
        <v>0</v>
      </c>
    </row>
    <row r="10" spans="1:14" x14ac:dyDescent="0.3">
      <c r="B10" s="13" t="s">
        <v>13</v>
      </c>
      <c r="D10" s="8">
        <v>3598095.15</v>
      </c>
      <c r="E10" s="8"/>
      <c r="F10" s="23">
        <f>1388105-'2011-585'!F10-'2010-792'!F10</f>
        <v>370391</v>
      </c>
      <c r="G10" s="8"/>
      <c r="H10" s="8">
        <f>F10+1318344+668113+672829</f>
        <v>3029677</v>
      </c>
      <c r="I10" s="8"/>
      <c r="J10" s="16">
        <f>(-D10/7)*4+H10</f>
        <v>973622.62857142859</v>
      </c>
      <c r="K10" s="8"/>
      <c r="L10" s="8">
        <f>D10-H10</f>
        <v>568418.14999999991</v>
      </c>
      <c r="N10" s="20"/>
    </row>
    <row r="11" spans="1:14" x14ac:dyDescent="0.3">
      <c r="B11" s="13" t="s">
        <v>17</v>
      </c>
      <c r="D11" s="8">
        <v>3598095.15</v>
      </c>
      <c r="E11" s="8"/>
      <c r="F11" s="23">
        <v>313694</v>
      </c>
      <c r="G11" s="8"/>
      <c r="H11" s="8">
        <f>F11+1003551+277532+77537</f>
        <v>1672314</v>
      </c>
      <c r="I11" s="8"/>
      <c r="J11" s="16">
        <f>(-D11/7)*4+H11</f>
        <v>-383740.37142857141</v>
      </c>
      <c r="K11" s="8"/>
      <c r="L11" s="8">
        <f>D11-H11</f>
        <v>1925781.15</v>
      </c>
      <c r="N11" s="20"/>
    </row>
    <row r="12" spans="1:14" x14ac:dyDescent="0.3">
      <c r="B12" t="s">
        <v>20</v>
      </c>
      <c r="D12" s="8">
        <v>799577</v>
      </c>
      <c r="E12" s="8"/>
      <c r="F12" s="23">
        <v>156925</v>
      </c>
      <c r="G12" s="8"/>
      <c r="H12" s="8">
        <f>F12+27587+424012</f>
        <v>608524</v>
      </c>
      <c r="I12" s="8"/>
      <c r="J12" s="16">
        <f>(-D12/7)*4+H12</f>
        <v>151622.85714285716</v>
      </c>
      <c r="K12" s="8"/>
      <c r="L12" s="8">
        <f>D12-H12</f>
        <v>191053</v>
      </c>
      <c r="N12" s="20"/>
    </row>
    <row r="13" spans="1:14" ht="6.75" customHeight="1" x14ac:dyDescent="0.3"/>
    <row r="14" spans="1:14" x14ac:dyDescent="0.3">
      <c r="B14" s="2" t="s">
        <v>15</v>
      </c>
      <c r="C14" s="2"/>
      <c r="D14" s="11">
        <f>SUM(D10:D12)</f>
        <v>7995767.2999999998</v>
      </c>
      <c r="E14" s="11"/>
      <c r="F14" s="11">
        <f>SUM(F10:F12)</f>
        <v>841010</v>
      </c>
      <c r="G14" s="11"/>
      <c r="H14" s="11">
        <f>SUM(H10:H12)</f>
        <v>5310515</v>
      </c>
      <c r="I14" s="11"/>
      <c r="J14" s="11">
        <f>SUM(J10:J12)</f>
        <v>741505.11428571434</v>
      </c>
      <c r="K14" s="11"/>
      <c r="L14" s="11">
        <f>SUM(L10:L12)</f>
        <v>2685252.3</v>
      </c>
    </row>
    <row r="15" spans="1:14" ht="9" customHeight="1" x14ac:dyDescent="0.3"/>
    <row r="16" spans="1:14" x14ac:dyDescent="0.3">
      <c r="B16" s="1" t="s">
        <v>2</v>
      </c>
      <c r="D16" s="8"/>
      <c r="E16" s="8"/>
      <c r="F16" s="8"/>
      <c r="G16" s="8"/>
      <c r="H16" s="8"/>
      <c r="I16" s="8"/>
      <c r="J16" s="8"/>
      <c r="K16" s="8"/>
      <c r="L16" s="8"/>
    </row>
    <row r="17" spans="2:12" x14ac:dyDescent="0.3">
      <c r="B17" t="s">
        <v>3</v>
      </c>
      <c r="D17" s="8">
        <v>0</v>
      </c>
      <c r="E17" s="8"/>
      <c r="F17" s="23">
        <v>0</v>
      </c>
      <c r="G17" s="8"/>
      <c r="H17" s="8">
        <f>F17</f>
        <v>0</v>
      </c>
      <c r="I17" s="8"/>
      <c r="J17" s="16">
        <f>(-D17/7)*2+H17</f>
        <v>0</v>
      </c>
      <c r="K17" s="8"/>
      <c r="L17" s="8">
        <f>D17-H17</f>
        <v>0</v>
      </c>
    </row>
    <row r="18" spans="2:12" x14ac:dyDescent="0.3">
      <c r="B18" t="s">
        <v>5</v>
      </c>
      <c r="D18" s="8">
        <v>0</v>
      </c>
      <c r="E18" s="8"/>
      <c r="F18" s="23">
        <v>0</v>
      </c>
      <c r="G18" s="8"/>
      <c r="H18" s="8">
        <v>0</v>
      </c>
      <c r="I18" s="8"/>
      <c r="J18" s="16">
        <f>(-D18/7)*2+H18</f>
        <v>0</v>
      </c>
      <c r="K18" s="8"/>
      <c r="L18" s="8">
        <f>D18-H18</f>
        <v>0</v>
      </c>
    </row>
    <row r="19" spans="2:12" x14ac:dyDescent="0.3">
      <c r="B19" t="s">
        <v>4</v>
      </c>
      <c r="D19" s="8">
        <v>0</v>
      </c>
      <c r="E19" s="8"/>
      <c r="F19" s="23">
        <v>0</v>
      </c>
      <c r="G19" s="8"/>
      <c r="H19" s="8">
        <v>0</v>
      </c>
      <c r="I19" s="8"/>
      <c r="J19" s="16">
        <f>(-D19/7)*2+H19</f>
        <v>0</v>
      </c>
      <c r="K19" s="8"/>
      <c r="L19" s="8">
        <f>D19-H19</f>
        <v>0</v>
      </c>
    </row>
    <row r="20" spans="2:12" ht="8.25" customHeight="1" x14ac:dyDescent="0.3">
      <c r="D20" s="8"/>
      <c r="E20" s="8"/>
      <c r="F20" s="8"/>
      <c r="G20" s="8"/>
      <c r="H20" s="8"/>
      <c r="I20" s="8"/>
      <c r="J20" s="8"/>
      <c r="K20" s="8"/>
      <c r="L20" s="8"/>
    </row>
    <row r="21" spans="2:12" x14ac:dyDescent="0.3">
      <c r="B21" s="2" t="s">
        <v>6</v>
      </c>
      <c r="C21" s="2"/>
      <c r="D21" s="11">
        <f>SUM(D16:D19)</f>
        <v>0</v>
      </c>
      <c r="E21" s="11"/>
      <c r="F21" s="11">
        <f>SUM(F16:F19)</f>
        <v>0</v>
      </c>
      <c r="G21" s="11"/>
      <c r="H21" s="11">
        <f>SUM(H16:H19)</f>
        <v>0</v>
      </c>
      <c r="I21" s="11"/>
      <c r="J21" s="17">
        <f>SUM(J16:J19)</f>
        <v>0</v>
      </c>
      <c r="K21" s="11"/>
      <c r="L21" s="11">
        <f>SUM(L16:L19)</f>
        <v>0</v>
      </c>
    </row>
    <row r="23" spans="2:12" ht="15" thickBot="1" x14ac:dyDescent="0.35">
      <c r="B23" s="9" t="s">
        <v>7</v>
      </c>
      <c r="C23" s="9"/>
      <c r="D23" s="12">
        <f>D14+D21</f>
        <v>7995767.2999999998</v>
      </c>
      <c r="E23" s="9"/>
      <c r="F23" s="12">
        <f>F14+F21</f>
        <v>841010</v>
      </c>
      <c r="G23" s="9"/>
      <c r="H23" s="12">
        <f>H14+H21</f>
        <v>5310515</v>
      </c>
      <c r="I23" s="12"/>
      <c r="J23" s="18">
        <f>J14+J21</f>
        <v>741505.11428571434</v>
      </c>
      <c r="K23" s="9"/>
      <c r="L23" s="12">
        <f>L14+L21</f>
        <v>2685252.3</v>
      </c>
    </row>
    <row r="24" spans="2:12" ht="15" thickTop="1" x14ac:dyDescent="0.3"/>
    <row r="26" spans="2:12" x14ac:dyDescent="0.3">
      <c r="L26" s="19"/>
    </row>
    <row r="27" spans="2:12" x14ac:dyDescent="0.3">
      <c r="L27" s="19"/>
    </row>
  </sheetData>
  <pageMargins left="0.23622047244094491" right="0.23622047244094491" top="0.74803149606299213" bottom="0.74803149606299213" header="0.31496062992125984" footer="0.31496062992125984"/>
  <pageSetup orientation="landscape" r:id="rId1"/>
  <headerFooter>
    <oddFooter>&amp;L&amp;Z&amp;F&amp;A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"/>
  <sheetViews>
    <sheetView workbookViewId="0">
      <selection activeCell="Q8" sqref="Q8"/>
    </sheetView>
  </sheetViews>
  <sheetFormatPr defaultRowHeight="14.4" x14ac:dyDescent="0.3"/>
  <cols>
    <col min="2" max="2" width="34.88671875" bestFit="1" customWidth="1"/>
    <col min="3" max="3" width="1.88671875" customWidth="1"/>
    <col min="4" max="4" width="12.109375" customWidth="1"/>
    <col min="5" max="5" width="1.88671875" customWidth="1"/>
    <col min="6" max="6" width="12.33203125" customWidth="1"/>
    <col min="7" max="7" width="1.88671875" customWidth="1"/>
    <col min="8" max="8" width="10.5546875" bestFit="1" customWidth="1"/>
    <col min="9" max="9" width="1.88671875" customWidth="1"/>
    <col min="10" max="10" width="20.109375" customWidth="1"/>
    <col min="11" max="11" width="1.88671875" customWidth="1"/>
    <col min="12" max="12" width="12.33203125" customWidth="1"/>
  </cols>
  <sheetData>
    <row r="1" spans="1:12" ht="18" x14ac:dyDescent="0.35">
      <c r="A1" s="4" t="s">
        <v>18</v>
      </c>
    </row>
    <row r="2" spans="1:12" ht="15.6" x14ac:dyDescent="0.3">
      <c r="A2" s="3" t="s">
        <v>8</v>
      </c>
    </row>
    <row r="3" spans="1:12" x14ac:dyDescent="0.3">
      <c r="A3" s="1" t="s">
        <v>30</v>
      </c>
    </row>
    <row r="4" spans="1:12" x14ac:dyDescent="0.3">
      <c r="A4" t="s">
        <v>9</v>
      </c>
      <c r="F4" t="s">
        <v>22</v>
      </c>
    </row>
    <row r="5" spans="1:12" x14ac:dyDescent="0.3">
      <c r="J5">
        <v>4</v>
      </c>
      <c r="K5" t="s">
        <v>29</v>
      </c>
    </row>
    <row r="6" spans="1:12" ht="52.5" customHeight="1" x14ac:dyDescent="0.3">
      <c r="B6" s="2"/>
      <c r="C6" s="2"/>
      <c r="D6" s="14" t="s">
        <v>10</v>
      </c>
      <c r="E6" s="15"/>
      <c r="F6" s="22" t="s">
        <v>31</v>
      </c>
      <c r="G6" s="15"/>
      <c r="H6" s="14" t="s">
        <v>11</v>
      </c>
      <c r="I6" s="14"/>
      <c r="J6" s="14" t="s">
        <v>16</v>
      </c>
      <c r="K6" s="15"/>
      <c r="L6" s="14" t="s">
        <v>12</v>
      </c>
    </row>
    <row r="7" spans="1:12" ht="6" customHeight="1" x14ac:dyDescent="0.3">
      <c r="D7" s="5"/>
      <c r="E7" s="6"/>
      <c r="F7" s="5"/>
      <c r="G7" s="6"/>
      <c r="H7" s="5"/>
      <c r="I7" s="5"/>
      <c r="J7" s="5"/>
      <c r="K7" s="6"/>
      <c r="L7" s="5"/>
    </row>
    <row r="8" spans="1:12" x14ac:dyDescent="0.3">
      <c r="B8" s="1" t="s">
        <v>1</v>
      </c>
      <c r="D8" s="8"/>
      <c r="E8" s="8"/>
      <c r="F8" s="8"/>
      <c r="G8" s="8"/>
      <c r="H8" s="8"/>
      <c r="I8" s="8"/>
      <c r="J8" s="8"/>
      <c r="K8" s="8"/>
      <c r="L8" s="8"/>
    </row>
    <row r="9" spans="1:12" x14ac:dyDescent="0.3">
      <c r="B9" t="s">
        <v>0</v>
      </c>
      <c r="D9" s="8"/>
      <c r="E9" s="8"/>
      <c r="F9" s="8"/>
      <c r="G9" s="8"/>
      <c r="H9" s="8"/>
      <c r="I9" s="8"/>
      <c r="J9" s="8"/>
      <c r="K9" s="8"/>
      <c r="L9" s="8">
        <f>D9-H9</f>
        <v>0</v>
      </c>
    </row>
    <row r="10" spans="1:12" x14ac:dyDescent="0.3">
      <c r="B10" s="13" t="s">
        <v>13</v>
      </c>
      <c r="D10" s="8">
        <v>427500</v>
      </c>
      <c r="E10" s="8"/>
      <c r="F10" s="23"/>
      <c r="G10" s="8"/>
      <c r="H10" s="8">
        <f>F10+60951+41821+80442</f>
        <v>183214</v>
      </c>
      <c r="I10" s="8"/>
      <c r="J10" s="16">
        <f>(-D10/7)*3+H10</f>
        <v>-0.28571428571012802</v>
      </c>
      <c r="K10" s="8"/>
      <c r="L10" s="8">
        <f>D10-H10</f>
        <v>244286</v>
      </c>
    </row>
    <row r="11" spans="1:12" x14ac:dyDescent="0.3">
      <c r="B11" s="13" t="s">
        <v>17</v>
      </c>
      <c r="D11" s="8">
        <v>427500</v>
      </c>
      <c r="E11" s="8"/>
      <c r="F11" s="23"/>
      <c r="G11" s="8"/>
      <c r="H11" s="8">
        <f>F11+89545+88870+4799</f>
        <v>183214</v>
      </c>
      <c r="I11" s="8"/>
      <c r="J11" s="16">
        <f>(-D11/7)*3+H11</f>
        <v>-0.28571428571012802</v>
      </c>
      <c r="K11" s="8"/>
      <c r="L11" s="8">
        <f>D11-H11</f>
        <v>244286</v>
      </c>
    </row>
    <row r="12" spans="1:12" x14ac:dyDescent="0.3">
      <c r="B12" t="s">
        <v>20</v>
      </c>
      <c r="D12" s="8">
        <v>95000</v>
      </c>
      <c r="E12" s="8"/>
      <c r="F12" s="23"/>
      <c r="G12" s="8"/>
      <c r="H12" s="8">
        <f>F12+40714</f>
        <v>40714</v>
      </c>
      <c r="I12" s="8"/>
      <c r="J12" s="16">
        <f>(-D12/7)*3+H12</f>
        <v>-0.28571428571012802</v>
      </c>
      <c r="K12" s="8"/>
      <c r="L12" s="8">
        <f>D12-H12</f>
        <v>54286</v>
      </c>
    </row>
    <row r="13" spans="1:12" ht="6.75" customHeight="1" x14ac:dyDescent="0.3"/>
    <row r="14" spans="1:12" x14ac:dyDescent="0.3">
      <c r="B14" s="2" t="s">
        <v>15</v>
      </c>
      <c r="C14" s="2"/>
      <c r="D14" s="11">
        <f>SUM(D9:D12)</f>
        <v>950000</v>
      </c>
      <c r="E14" s="11"/>
      <c r="F14" s="11">
        <f>SUM(F9:F12)</f>
        <v>0</v>
      </c>
      <c r="G14" s="11"/>
      <c r="H14" s="11">
        <f>SUM(H9:H12)</f>
        <v>407142</v>
      </c>
      <c r="I14" s="11"/>
      <c r="J14" s="17">
        <f>SUM(J9:J12)</f>
        <v>-0.85714285713038407</v>
      </c>
      <c r="K14" s="11"/>
      <c r="L14" s="11">
        <f>SUM(L9:L12)</f>
        <v>542858</v>
      </c>
    </row>
    <row r="15" spans="1:12" ht="9" customHeight="1" x14ac:dyDescent="0.3"/>
    <row r="16" spans="1:12" x14ac:dyDescent="0.3">
      <c r="B16" s="1" t="s">
        <v>2</v>
      </c>
      <c r="D16" s="8"/>
      <c r="E16" s="8"/>
      <c r="F16" s="8"/>
      <c r="G16" s="8"/>
      <c r="H16" s="8"/>
      <c r="I16" s="8"/>
      <c r="J16" s="8"/>
      <c r="K16" s="8"/>
      <c r="L16" s="8"/>
    </row>
    <row r="17" spans="2:12" x14ac:dyDescent="0.3">
      <c r="B17" t="s">
        <v>3</v>
      </c>
      <c r="D17" s="8">
        <v>50000</v>
      </c>
      <c r="E17" s="8"/>
      <c r="F17" s="23">
        <v>8333</v>
      </c>
      <c r="G17" s="8"/>
      <c r="H17" s="8">
        <f>F17+7143+14286</f>
        <v>29762</v>
      </c>
      <c r="I17" s="8"/>
      <c r="J17" s="16">
        <f>(-D17/7)*4+H17</f>
        <v>1190.5714285714275</v>
      </c>
      <c r="K17" s="8"/>
      <c r="L17" s="8">
        <f>D17-H17</f>
        <v>20238</v>
      </c>
    </row>
    <row r="18" spans="2:12" x14ac:dyDescent="0.3">
      <c r="B18" t="s">
        <v>5</v>
      </c>
      <c r="D18" s="8">
        <v>0</v>
      </c>
      <c r="E18" s="8"/>
      <c r="F18" s="8">
        <v>0</v>
      </c>
      <c r="G18" s="8"/>
      <c r="H18" s="8">
        <v>0</v>
      </c>
      <c r="I18" s="8"/>
      <c r="J18" s="16">
        <f>(-D18/7)*2+H18</f>
        <v>0</v>
      </c>
      <c r="K18" s="8"/>
      <c r="L18" s="8">
        <f>D18-H18</f>
        <v>0</v>
      </c>
    </row>
    <row r="19" spans="2:12" x14ac:dyDescent="0.3">
      <c r="B19" t="s">
        <v>4</v>
      </c>
      <c r="D19" s="8">
        <v>0</v>
      </c>
      <c r="E19" s="8"/>
      <c r="F19" s="8">
        <v>0</v>
      </c>
      <c r="G19" s="8"/>
      <c r="H19" s="8">
        <v>0</v>
      </c>
      <c r="I19" s="8"/>
      <c r="J19" s="16">
        <f>(-D19/7)*2+H19</f>
        <v>0</v>
      </c>
      <c r="K19" s="8"/>
      <c r="L19" s="8">
        <f>D19-H19</f>
        <v>0</v>
      </c>
    </row>
    <row r="20" spans="2:12" ht="8.25" customHeight="1" x14ac:dyDescent="0.3">
      <c r="D20" s="8"/>
      <c r="E20" s="8"/>
      <c r="F20" s="8"/>
      <c r="G20" s="8"/>
      <c r="H20" s="8"/>
      <c r="I20" s="8"/>
      <c r="J20" s="8"/>
      <c r="K20" s="8"/>
      <c r="L20" s="8"/>
    </row>
    <row r="21" spans="2:12" x14ac:dyDescent="0.3">
      <c r="B21" s="2" t="s">
        <v>6</v>
      </c>
      <c r="C21" s="2"/>
      <c r="D21" s="11">
        <f>SUM(D16:D19)</f>
        <v>50000</v>
      </c>
      <c r="E21" s="11"/>
      <c r="F21" s="11">
        <f>SUM(F16:F19)</f>
        <v>8333</v>
      </c>
      <c r="G21" s="11"/>
      <c r="H21" s="11">
        <f>SUM(H16:H19)</f>
        <v>29762</v>
      </c>
      <c r="I21" s="11"/>
      <c r="J21" s="17">
        <f>SUM(J16:J19)</f>
        <v>1190.5714285714275</v>
      </c>
      <c r="K21" s="11"/>
      <c r="L21" s="11">
        <f>SUM(L16:L19)</f>
        <v>20238</v>
      </c>
    </row>
    <row r="23" spans="2:12" ht="15" thickBot="1" x14ac:dyDescent="0.35">
      <c r="B23" s="9" t="s">
        <v>7</v>
      </c>
      <c r="C23" s="9"/>
      <c r="D23" s="12">
        <f>D14+D21</f>
        <v>1000000</v>
      </c>
      <c r="E23" s="9"/>
      <c r="F23" s="12">
        <f>F14+F21</f>
        <v>8333</v>
      </c>
      <c r="G23" s="9"/>
      <c r="H23" s="12">
        <f>H14+H21</f>
        <v>436904</v>
      </c>
      <c r="I23" s="12"/>
      <c r="J23" s="18">
        <f>J14+J21</f>
        <v>1189.7142857142971</v>
      </c>
      <c r="K23" s="9"/>
      <c r="L23" s="12">
        <f>L14+L21</f>
        <v>563096</v>
      </c>
    </row>
    <row r="24" spans="2:12" ht="15" thickTop="1" x14ac:dyDescent="0.3"/>
    <row r="26" spans="2:12" x14ac:dyDescent="0.3">
      <c r="L26" s="19"/>
    </row>
    <row r="27" spans="2:12" x14ac:dyDescent="0.3">
      <c r="L27" s="19"/>
    </row>
  </sheetData>
  <pageMargins left="0.23622047244094491" right="0.23622047244094491" top="0.74803149606299213" bottom="0.74803149606299213" header="0.31496062992125984" footer="0.31496062992125984"/>
  <pageSetup orientation="landscape" r:id="rId1"/>
  <headerFooter>
    <oddFooter>&amp;L&amp;Z&amp;F&amp;A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BAM Consolidated Group</vt:lpstr>
      <vt:lpstr>2010-792</vt:lpstr>
      <vt:lpstr>2011-585</vt:lpstr>
      <vt:lpstr>2012-381</vt:lpstr>
      <vt:lpstr>2012-630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Christopher Lamont</dc:creator>
  <cp:lastModifiedBy>labellel</cp:lastModifiedBy>
  <cp:lastPrinted>2016-11-30T23:00:52Z</cp:lastPrinted>
  <dcterms:created xsi:type="dcterms:W3CDTF">2014-02-04T20:22:55Z</dcterms:created>
  <dcterms:modified xsi:type="dcterms:W3CDTF">2016-12-20T21:11:53Z</dcterms:modified>
</cp:coreProperties>
</file>